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Mead, 750 ml, tasting room and online</t>
        </is>
      </c>
      <c r="B2" s="3" t="n">
        <v>24</v>
      </c>
      <c r="C2" s="3" t="n">
        <v>5.83</v>
      </c>
      <c r="D2" s="3">
        <f>IF(OR(B2="",C2=""),"",B2-C2)</f>
        <v>18.17</v>
      </c>
      <c r="E2" s="4">
        <f>IF(OR(D2="",N(B2)=0),"",D2/B2)</f>
        <v>0.757083333333333</v>
      </c>
      <c r="F2" s="5" t="n">
        <v>300</v>
      </c>
    </row>
    <row r="3" ht="30" customHeight="1">
      <c r="A3" s="2" t="inlineStr">
        <is>
          <t>Mead, 750 ml, to shops and restaurants</t>
        </is>
      </c>
      <c r="B3" s="3" t="n">
        <v>13</v>
      </c>
      <c r="C3" s="3" t="n">
        <v>5.41</v>
      </c>
      <c r="D3" s="3">
        <f>IF(OR(B3="",C3=""),"",B3-C3)</f>
        <v>7.59</v>
      </c>
      <c r="E3" s="4">
        <f>IF(OR(D3="",N(B3)=0),"",D3/B3)</f>
        <v>0.583846153846154</v>
      </c>
      <c r="F3" s="5" t="n">
        <v>400</v>
      </c>
    </row>
    <row r="4">
      <c r="A4" t="inlineStr">
        <is>
          <t>Tasting flight, four 2 oz pours</t>
        </is>
      </c>
      <c r="B4" s="6" t="n">
        <v>12</v>
      </c>
      <c r="C4" s="6" t="n">
        <v>3.1</v>
      </c>
      <c r="D4" s="6">
        <f>IF(OR(B4="",C4=""),"",B4-C4)</f>
        <v>8.9</v>
      </c>
      <c r="E4" s="7">
        <f>IF(OR(D4="",N(B4)=0),"",D4/B4)</f>
        <v>0.741666666666667</v>
      </c>
      <c r="F4" t="n">
        <v>300</v>
      </c>
    </row>
    <row r="5">
      <c r="A5" t="inlineStr">
        <is>
          <t>Mead by the glass, 5 oz</t>
        </is>
      </c>
      <c r="B5" s="6" t="n">
        <v>9</v>
      </c>
      <c r="C5" s="6" t="n">
        <v>1.79</v>
      </c>
      <c r="D5" s="6">
        <f>IF(OR(B5="",C5=""),"",B5-C5)</f>
        <v>7.21</v>
      </c>
      <c r="E5" s="7">
        <f>IF(OR(D5="",N(B5)=0),"",D5/B5)</f>
        <v>0.801111111111111</v>
      </c>
      <c r="F5" t="n">
        <v>400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Mead, 750 ml, tasting room and online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Mead, 750 ml, to shops and restaurants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Tasting flight, four 2 oz pours (units)</v>
      </c>
      <c r="C6">
        <f>IF(Products!A4="","",ROUND(N(Products!F4)*C$2,0))</f>
        <v>45</v>
      </c>
      <c r="D6">
        <f>IF(Products!A4="","",ROUND(N(Products!F4)*D$2,0))</f>
        <v>60</v>
      </c>
      <c r="E6">
        <f>IF(Products!A4="","",ROUND(N(Products!F4)*E$2,0))</f>
        <v>75</v>
      </c>
      <c r="F6">
        <f>IF(Products!A4="","",ROUND(N(Products!F4)*F$2,0))</f>
        <v>90</v>
      </c>
      <c r="G6">
        <f>IF(Products!A4="","",ROUND(N(Products!F4)*G$2,0))</f>
        <v>120</v>
      </c>
      <c r="H6">
        <f>IF(Products!A4="","",ROUND(N(Products!F4)*H$2,0))</f>
        <v>150</v>
      </c>
      <c r="I6">
        <f>IF(Products!A4="","",ROUND(N(Products!F4)*I$2,0))</f>
        <v>180</v>
      </c>
      <c r="J6">
        <f>IF(Products!A4="","",ROUND(N(Products!F4)*J$2,0))</f>
        <v>210</v>
      </c>
      <c r="K6">
        <f>IF(Products!A4="","",ROUND(N(Products!F4)*K$2,0))</f>
        <v>240</v>
      </c>
      <c r="L6">
        <f>IF(Products!A4="","",ROUND(N(Products!F4)*L$2,0))</f>
        <v>270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2040</v>
      </c>
    </row>
    <row r="7">
      <c r="A7" t="str">
        <f>IF(Products!A5="","",Products!A5&amp;" (units)")</f>
        <v>Mead by the glass, 5 oz (units)</v>
      </c>
      <c r="C7">
        <f>IF(Products!A5="","",ROUND(N(Products!F5)*C$2,0))</f>
        <v>60</v>
      </c>
      <c r="D7">
        <f>IF(Products!A5="","",ROUND(N(Products!F5)*D$2,0))</f>
        <v>80</v>
      </c>
      <c r="E7">
        <f>IF(Products!A5="","",ROUND(N(Products!F5)*E$2,0))</f>
        <v>100</v>
      </c>
      <c r="F7">
        <f>IF(Products!A5="","",ROUND(N(Products!F5)*F$2,0))</f>
        <v>120</v>
      </c>
      <c r="G7">
        <f>IF(Products!A5="","",ROUND(N(Products!F5)*G$2,0))</f>
        <v>160</v>
      </c>
      <c r="H7">
        <f>IF(Products!A5="","",ROUND(N(Products!F5)*H$2,0))</f>
        <v>200</v>
      </c>
      <c r="I7">
        <f>IF(Products!A5="","",ROUND(N(Products!F5)*I$2,0))</f>
        <v>240</v>
      </c>
      <c r="J7">
        <f>IF(Products!A5="","",ROUND(N(Products!F5)*J$2,0))</f>
        <v>280</v>
      </c>
      <c r="K7">
        <f>IF(Products!A5="","",ROUND(N(Products!F5)*K$2,0))</f>
        <v>320</v>
      </c>
      <c r="L7">
        <f>IF(Products!A5="","",ROUND(N(Products!F5)*L$2,0))</f>
        <v>360</v>
      </c>
      <c r="M7">
        <f>IF(Products!A5="","",ROUND(N(Products!F5)*M$2,0))</f>
        <v>400</v>
      </c>
      <c r="N7">
        <f>IF(Products!A5="","",ROUND(N(Products!F5)*N$2,0))</f>
        <v>400</v>
      </c>
      <c r="O7">
        <f>IF(Products!A5="","",SUM(C7:N7))</f>
        <v>2720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2940</v>
      </c>
      <c r="D25" s="11">
        <f>SUMPRODUCT(Products!$B$2:$B$21,D4:D23)</f>
        <v>3920</v>
      </c>
      <c r="E25" s="11">
        <f>SUMPRODUCT(Products!$B$2:$B$21,E4:E23)</f>
        <v>4900</v>
      </c>
      <c r="F25" s="11">
        <f>SUMPRODUCT(Products!$B$2:$B$21,F4:F23)</f>
        <v>5880</v>
      </c>
      <c r="G25" s="11">
        <f>SUMPRODUCT(Products!$B$2:$B$21,G4:G23)</f>
        <v>7840</v>
      </c>
      <c r="H25" s="11">
        <f>SUMPRODUCT(Products!$B$2:$B$21,H4:H23)</f>
        <v>9800</v>
      </c>
      <c r="I25" s="11">
        <f>SUMPRODUCT(Products!$B$2:$B$21,I4:I23)</f>
        <v>11760</v>
      </c>
      <c r="J25" s="11">
        <f>SUMPRODUCT(Products!$B$2:$B$21,J4:J23)</f>
        <v>13720</v>
      </c>
      <c r="K25" s="11">
        <f>SUMPRODUCT(Products!$B$2:$B$21,K4:K23)</f>
        <v>15680</v>
      </c>
      <c r="L25" s="11">
        <f>SUMPRODUCT(Products!$B$2:$B$21,L4:L23)</f>
        <v>17640</v>
      </c>
      <c r="M25" s="11">
        <f>SUMPRODUCT(Products!$B$2:$B$21,M4:M23)</f>
        <v>19600</v>
      </c>
      <c r="N25" s="11">
        <f>SUMPRODUCT(Products!$B$2:$B$21,N4:N23)</f>
        <v>19600</v>
      </c>
      <c r="O25" s="11">
        <f>SUM(C25:N25)</f>
        <v>133280</v>
      </c>
    </row>
    <row r="26">
      <c r="A26" s="9" t="inlineStr">
        <is>
          <t>Contribution</t>
        </is>
      </c>
      <c r="C26" s="11">
        <f>SUMPRODUCT(Products!$D$2:$D$21,C4:C23)</f>
        <v>2106.15</v>
      </c>
      <c r="D26" s="11">
        <f>SUMPRODUCT(Products!$D$2:$D$21,D4:D23)</f>
        <v>2808.2</v>
      </c>
      <c r="E26" s="11">
        <f>SUMPRODUCT(Products!$D$2:$D$21,E4:E23)</f>
        <v>3510.25</v>
      </c>
      <c r="F26" s="11">
        <f>SUMPRODUCT(Products!$D$2:$D$21,F4:F23)</f>
        <v>4212.3</v>
      </c>
      <c r="G26" s="11">
        <f>SUMPRODUCT(Products!$D$2:$D$21,G4:G23)</f>
        <v>5616.4</v>
      </c>
      <c r="H26" s="11">
        <f>SUMPRODUCT(Products!$D$2:$D$21,H4:H23)</f>
        <v>7020.5</v>
      </c>
      <c r="I26" s="11">
        <f>SUMPRODUCT(Products!$D$2:$D$21,I4:I23)</f>
        <v>8424.6</v>
      </c>
      <c r="J26" s="11">
        <f>SUMPRODUCT(Products!$D$2:$D$21,J4:J23)</f>
        <v>9828.7</v>
      </c>
      <c r="K26" s="11">
        <f>SUMPRODUCT(Products!$D$2:$D$21,K4:K23)</f>
        <v>11232.8</v>
      </c>
      <c r="L26" s="11">
        <f>SUMPRODUCT(Products!$D$2:$D$21,L4:L23)</f>
        <v>12636.9</v>
      </c>
      <c r="M26" s="11">
        <f>SUMPRODUCT(Products!$D$2:$D$21,M4:M23)</f>
        <v>14041</v>
      </c>
      <c r="N26" s="11">
        <f>SUMPRODUCT(Products!$D$2:$D$21,N4:N23)</f>
        <v>14041</v>
      </c>
      <c r="O26" s="11">
        <f>SUM(C26:N26)</f>
        <v>95478.8</v>
      </c>
    </row>
    <row r="27">
      <c r="A27" s="9" t="inlineStr">
        <is>
          <t>Fixed costs</t>
        </is>
      </c>
      <c r="C27" s="11">
        <f>'Fixed costs'!$B$22</f>
        <v>4535</v>
      </c>
      <c r="D27" s="11">
        <f>'Fixed costs'!$B$22</f>
        <v>4535</v>
      </c>
      <c r="E27" s="11">
        <f>'Fixed costs'!$B$22</f>
        <v>4535</v>
      </c>
      <c r="F27" s="11">
        <f>'Fixed costs'!$B$22</f>
        <v>4535</v>
      </c>
      <c r="G27" s="11">
        <f>'Fixed costs'!$B$22</f>
        <v>4535</v>
      </c>
      <c r="H27" s="11">
        <f>'Fixed costs'!$B$22</f>
        <v>4535</v>
      </c>
      <c r="I27" s="11">
        <f>'Fixed costs'!$B$22</f>
        <v>4535</v>
      </c>
      <c r="J27" s="11">
        <f>'Fixed costs'!$B$22</f>
        <v>4535</v>
      </c>
      <c r="K27" s="11">
        <f>'Fixed costs'!$B$22</f>
        <v>4535</v>
      </c>
      <c r="L27" s="11">
        <f>'Fixed costs'!$B$22</f>
        <v>4535</v>
      </c>
      <c r="M27" s="11">
        <f>'Fixed costs'!$B$22</f>
        <v>4535</v>
      </c>
      <c r="N27" s="11">
        <f>'Fixed costs'!$B$22</f>
        <v>4535</v>
      </c>
      <c r="O27" s="11">
        <f>SUM(C27:N27)</f>
        <v>54420</v>
      </c>
    </row>
    <row r="28">
      <c r="A28" s="9" t="inlineStr">
        <is>
          <t>Profit</t>
        </is>
      </c>
      <c r="C28" s="11">
        <f>C26-C27</f>
        <v>-2428.85</v>
      </c>
      <c r="D28" s="11">
        <f>D26-D27</f>
        <v>-1726.8</v>
      </c>
      <c r="E28" s="11">
        <f>E26-E27</f>
        <v>-1024.75</v>
      </c>
      <c r="F28" s="11">
        <f>F26-F27</f>
        <v>-322.7</v>
      </c>
      <c r="G28" s="11">
        <f>G26-G27</f>
        <v>1081.4</v>
      </c>
      <c r="H28" s="11">
        <f>H26-H27</f>
        <v>2485.5</v>
      </c>
      <c r="I28" s="11">
        <f>I26-I27</f>
        <v>3889.6</v>
      </c>
      <c r="J28" s="11">
        <f>J26-J27</f>
        <v>5293.7</v>
      </c>
      <c r="K28" s="11">
        <f>K26-K27</f>
        <v>6697.8</v>
      </c>
      <c r="L28" s="11">
        <f>L26-L27</f>
        <v>8101.9</v>
      </c>
      <c r="M28" s="11">
        <f>M26-M27</f>
        <v>9506</v>
      </c>
      <c r="N28" s="11">
        <f>N26-N27</f>
        <v>9506</v>
      </c>
      <c r="O28" s="11">
        <f>SUM(C28:N28)</f>
        <v>41058.8</v>
      </c>
    </row>
    <row r="29">
      <c r="A29" s="9" t="inlineStr">
        <is>
          <t>Cash, start of year to date</t>
        </is>
      </c>
      <c r="C29" s="11">
        <f>C28</f>
        <v>-2428.85</v>
      </c>
      <c r="D29" s="11">
        <f>C29+D28</f>
        <v>-4155.65</v>
      </c>
      <c r="E29" s="11">
        <f>D29+E28</f>
        <v>-5180.4</v>
      </c>
      <c r="F29" s="11">
        <f>E29+F28</f>
        <v>-5503.1</v>
      </c>
      <c r="G29" s="11">
        <f>F29+G28</f>
        <v>-4421.7</v>
      </c>
      <c r="H29" s="11">
        <f>G29+H28</f>
        <v>-1936.2</v>
      </c>
      <c r="I29" s="11">
        <f>H29+I28</f>
        <v>1953.4</v>
      </c>
      <c r="J29" s="11">
        <f>I29+J28</f>
        <v>7247.1</v>
      </c>
      <c r="K29" s="11">
        <f>J29+K28</f>
        <v>13944.9</v>
      </c>
      <c r="L29" s="11">
        <f>K29+L28</f>
        <v>22046.8</v>
      </c>
      <c r="M29" s="11">
        <f>L29+M28</f>
        <v>31552.8</v>
      </c>
      <c r="N29" s="11">
        <f>M29+N28</f>
        <v>41058.8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-5503.1</v>
      </c>
    </row>
    <row r="35">
      <c r="A35" s="9" t="inlineStr">
        <is>
          <t>Working cash in the startup budget</t>
        </is>
      </c>
      <c r="C35" s="11">
        <f>Startup!B22</f>
        <v>6000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2" t="inlineStr">
        <is>
          <t>Production space and tasting room rent</t>
        </is>
      </c>
      <c r="B2" s="13" t="n">
        <v>2500</v>
      </c>
    </row>
    <row r="3">
      <c r="A3" t="inlineStr">
        <is>
          <t>Tasting room staff, base hours</t>
        </is>
      </c>
      <c r="B3" s="14" t="n">
        <v>1000</v>
      </c>
    </row>
    <row r="4">
      <c r="A4" t="inlineStr">
        <is>
          <t>Insurance</t>
        </is>
      </c>
      <c r="B4" s="14" t="n">
        <v>200</v>
      </c>
    </row>
    <row r="5">
      <c r="A5" t="inlineStr">
        <is>
          <t>Licenses and bond, averaged</t>
        </is>
      </c>
      <c r="B5" s="14" t="n">
        <v>100</v>
      </c>
    </row>
    <row r="6">
      <c r="A6" t="inlineStr">
        <is>
          <t>Power and water</t>
        </is>
      </c>
      <c r="B6" s="14" t="n">
        <v>300</v>
      </c>
    </row>
    <row r="7">
      <c r="A7" t="inlineStr">
        <is>
          <t>Marketing and events</t>
        </is>
      </c>
      <c r="B7" s="14" t="n">
        <v>400</v>
      </c>
    </row>
    <row r="8">
      <c r="A8" t="inlineStr">
        <is>
          <t>Software and card fees</t>
        </is>
      </c>
      <c r="B8" s="14" t="n">
        <v>35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B21" s="14" t="n"/>
    </row>
    <row r="22">
      <c r="A22" s="9" t="inlineStr">
        <is>
          <t>Fixed costs a month</t>
        </is>
      </c>
      <c r="B22" s="15">
        <f>SUM(B2:B21)</f>
        <v>4535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Fermenters and conditioning tanks</t>
        </is>
      </c>
      <c r="B2" s="14" t="n">
        <v>12000</v>
      </c>
    </row>
    <row r="3">
      <c r="A3" t="inlineStr">
        <is>
          <t>Pump and filter</t>
        </is>
      </c>
      <c r="B3" s="14" t="n">
        <v>4000</v>
      </c>
    </row>
    <row r="4">
      <c r="A4" t="inlineStr">
        <is>
          <t>Bottle filler, corker and capper</t>
        </is>
      </c>
      <c r="B4" s="14" t="n">
        <v>3500</v>
      </c>
    </row>
    <row r="5">
      <c r="A5" t="inlineStr">
        <is>
          <t>Tasting room build-out</t>
        </is>
      </c>
      <c r="B5" s="14" t="n">
        <v>15000</v>
      </c>
    </row>
    <row r="6">
      <c r="A6" t="inlineStr">
        <is>
          <t>Permits, bond and label approvals</t>
        </is>
      </c>
      <c r="B6" s="14" t="n">
        <v>1500</v>
      </c>
    </row>
    <row r="7">
      <c r="A7" t="inlineStr">
        <is>
          <t>First batches, aged before opening</t>
        </is>
      </c>
      <c r="B7" s="14" t="n">
        <v>8000</v>
      </c>
    </row>
    <row r="8">
      <c r="A8" t="inlineStr">
        <is>
          <t>Website and signs</t>
        </is>
      </c>
      <c r="B8" s="14" t="n">
        <v>1500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A21" s="9" t="inlineStr">
        <is>
          <t>Startup costs, before working cash</t>
        </is>
      </c>
      <c r="B21" s="9">
        <f>SUM(B2:B20)</f>
        <v>45500</v>
      </c>
    </row>
    <row r="22">
      <c r="A22" t="inlineStr">
        <is>
          <t>Working cash</t>
        </is>
      </c>
      <c r="B22" s="16" t="n">
        <v>6000</v>
      </c>
    </row>
    <row r="23">
      <c r="A23" s="9" t="inlineStr">
        <is>
          <t>Total to start</t>
        </is>
      </c>
      <c r="B23" s="15">
        <f>B21+B22</f>
        <v>51500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Meadery business plan: the first year</t>
        </is>
      </c>
    </row>
    <row r="2" ht="15" customHeight="1">
      <c r="A2" s="2" t="inlineStr">
        <is>
          <t>From the article: https://www.tarostack.com/articles/meadery-business-plan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