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ipe" sheetId="1" state="visible" r:id="rId1"/>
    <sheet xmlns:r="http://schemas.openxmlformats.org/officeDocument/2006/relationships" name="Ingredient list" sheetId="2" state="visible" r:id="rId2"/>
    <sheet xmlns:r="http://schemas.openxmlformats.org/officeDocument/2006/relationships" name="Read me" sheetId="3" state="visible" r:id="rId3"/>
  </sheets>
  <definedNames>
    <definedName name="_xlnm.Print_Titles" localSheetId="0">'Recipe'!$1:$1</definedName>
    <definedName name="_xlnm.Print_Titles" localSheetId="1">'Ingredient list'!$1:$1</definedName>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0"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33"/>
  <sheetViews>
    <sheetView tabSelected="1" workbookViewId="0">
      <pane ySplit="1" topLeftCell="A2" activePane="bottomLeft" state="frozen"/>
      <selection pane="bottomLeft" activeCell="A1" sqref="A1"/>
    </sheetView>
  </sheetViews>
  <sheetFormatPr baseColWidth="8" defaultRowHeight="15"/>
  <cols>
    <col width="52" customWidth="1" min="1" max="1"/>
    <col width="12" customWidth="1" min="2" max="2"/>
    <col width="12" customWidth="1" min="3" max="3"/>
    <col hidden="1" width="10" customWidth="1" min="4" max="4"/>
    <col hidden="1" width="8" customWidth="1" min="5" max="5"/>
  </cols>
  <sheetData>
    <row r="1" ht="45" customHeight="1">
      <c r="A1" s="1" t="inlineStr">
        <is>
          <t>Ingredient as it goes on the label</t>
        </is>
      </c>
      <c r="B1" s="1" t="inlineStr">
        <is>
          <t>Weight in the recipe (lb)</t>
        </is>
      </c>
      <c r="C1" s="1" t="inlineStr">
        <is>
          <t>Share of the recipe</t>
        </is>
      </c>
      <c r="D1" s="1" t="inlineStr">
        <is>
          <t>Sort key</t>
        </is>
      </c>
      <c r="E1" s="1" t="inlineStr">
        <is>
          <t>Place</t>
        </is>
      </c>
    </row>
    <row r="2">
      <c r="A2" t="inlineStr">
        <is>
          <t>rolled oats</t>
        </is>
      </c>
      <c r="B2" t="n">
        <v>13.2</v>
      </c>
      <c r="C2" s="2">
        <f>IF(OR(B2="",N($B$33)=0),"",B2/$B$33)</f>
        <v>0.44</v>
      </c>
      <c r="D2">
        <f>IF(OR(A2="",B2=""),"",B2+9.8e-05)</f>
        <v>13.200098</v>
      </c>
      <c r="E2">
        <f>IF(D2="","",COUNTIF(D$2:D$31,"&gt;"&amp;D2)+1)</f>
        <v>1</v>
      </c>
    </row>
    <row r="3">
      <c r="A3" t="inlineStr">
        <is>
          <t>almonds</t>
        </is>
      </c>
      <c r="B3" t="n">
        <v>3.6</v>
      </c>
      <c r="C3" s="2">
        <f>IF(OR(B3="",N($B$33)=0),"",B3/$B$33)</f>
        <v>0.12</v>
      </c>
      <c r="D3">
        <f>IF(OR(A3="",B3=""),"",B3+9.7e-05)</f>
        <v>3.600097</v>
      </c>
      <c r="E3">
        <f>IF(D3="","",COUNTIF(D$2:D$31,"&gt;"&amp;D3)+1)</f>
        <v>3</v>
      </c>
    </row>
    <row r="4">
      <c r="A4" t="inlineStr">
        <is>
          <t>pumpkin seeds</t>
        </is>
      </c>
      <c r="B4" t="n">
        <v>1.8</v>
      </c>
      <c r="C4" s="2">
        <f>IF(OR(B4="",N($B$33)=0),"",B4/$B$33)</f>
        <v>0.06</v>
      </c>
      <c r="D4">
        <f>IF(OR(A4="",B4=""),"",B4+9.6e-05)</f>
        <v>1.800096</v>
      </c>
      <c r="E4">
        <f>IF(D4="","",COUNTIF(D$2:D$31,"&gt;"&amp;D4)+1)</f>
        <v>5</v>
      </c>
    </row>
    <row r="5">
      <c r="A5" t="inlineStr">
        <is>
          <t>coconut</t>
        </is>
      </c>
      <c r="B5" t="n">
        <v>1.5</v>
      </c>
      <c r="C5" s="2">
        <f>IF(OR(B5="",N($B$33)=0),"",B5/$B$33)</f>
        <v>0.05</v>
      </c>
      <c r="D5">
        <f>IF(OR(A5="",B5=""),"",B5+9.5e-05)</f>
        <v>1.500095</v>
      </c>
      <c r="E5">
        <f>IF(D5="","",COUNTIF(D$2:D$31,"&gt;"&amp;D5)+1)</f>
        <v>6</v>
      </c>
    </row>
    <row r="6">
      <c r="A6" t="inlineStr">
        <is>
          <t>honey</t>
        </is>
      </c>
      <c r="B6" t="n">
        <v>4.2</v>
      </c>
      <c r="C6" s="2">
        <f>IF(OR(B6="",N($B$33)=0),"",B6/$B$33)</f>
        <v>0.14</v>
      </c>
      <c r="D6">
        <f>IF(OR(A6="",B6=""),"",B6+9.4e-05)</f>
        <v>4.200094</v>
      </c>
      <c r="E6">
        <f>IF(D6="","",COUNTIF(D$2:D$31,"&gt;"&amp;D6)+1)</f>
        <v>2</v>
      </c>
    </row>
    <row r="7">
      <c r="A7" t="inlineStr">
        <is>
          <t>brown sugar</t>
        </is>
      </c>
      <c r="B7" t="n">
        <v>1.2</v>
      </c>
      <c r="C7" s="2">
        <f>IF(OR(B7="",N($B$33)=0),"",B7/$B$33)</f>
        <v>0.04</v>
      </c>
      <c r="D7">
        <f>IF(OR(A7="",B7=""),"",B7+9.3e-05)</f>
        <v>1.200093</v>
      </c>
      <c r="E7">
        <f>IF(D7="","",COUNTIF(D$2:D$31,"&gt;"&amp;D7)+1)</f>
        <v>8</v>
      </c>
    </row>
    <row r="8">
      <c r="A8" t="inlineStr">
        <is>
          <t>sunflower oil</t>
        </is>
      </c>
      <c r="B8" t="n">
        <v>2.7</v>
      </c>
      <c r="C8" s="2">
        <f>IF(OR(B8="",N($B$33)=0),"",B8/$B$33)</f>
        <v>0.09</v>
      </c>
      <c r="D8">
        <f>IF(OR(A8="",B8=""),"",B8+9.2e-05)</f>
        <v>2.700092</v>
      </c>
      <c r="E8">
        <f>IF(D8="","",COUNTIF(D$2:D$31,"&gt;"&amp;D8)+1)</f>
        <v>4</v>
      </c>
    </row>
    <row r="9" ht="30" customHeight="1">
      <c r="A9" s="3" t="inlineStr">
        <is>
          <t>dried cranberries (cranberries, sugar, sunflower oil)</t>
        </is>
      </c>
      <c r="B9" s="4" t="n">
        <v>1.5</v>
      </c>
      <c r="C9" s="5">
        <f>IF(OR(B9="",N($B$33)=0),"",B9/$B$33)</f>
        <v>0.05</v>
      </c>
      <c r="D9" s="4">
        <f>IF(OR(A9="",B9=""),"",B9+9.1e-05)</f>
        <v>1.500091</v>
      </c>
      <c r="E9" s="4">
        <f>IF(D9="","",COUNTIF(D$2:D$31,"&gt;"&amp;D9)+1)</f>
        <v>7</v>
      </c>
    </row>
    <row r="10">
      <c r="A10" t="inlineStr">
        <is>
          <t>sea salt</t>
        </is>
      </c>
      <c r="B10" t="n">
        <v>0.15</v>
      </c>
      <c r="C10" s="2">
        <f>IF(OR(B10="",N($B$33)=0),"",B10/$B$33)</f>
        <v>0.005</v>
      </c>
      <c r="D10">
        <f>IF(OR(A10="",B10=""),"",B10+9e-05)</f>
        <v>0.15009</v>
      </c>
      <c r="E10">
        <f>IF(D10="","",COUNTIF(D$2:D$31,"&gt;"&amp;D10)+1)</f>
        <v>9</v>
      </c>
    </row>
    <row r="11">
      <c r="A11" t="inlineStr">
        <is>
          <t>cinnamon</t>
        </is>
      </c>
      <c r="B11" t="n">
        <v>0.1</v>
      </c>
      <c r="C11" s="2">
        <f>IF(OR(B11="",N($B$33)=0),"",B11/$B$33)</f>
        <v>0.00333333333333333</v>
      </c>
      <c r="D11">
        <f>IF(OR(A11="",B11=""),"",B11+8.9e-05)</f>
        <v>0.100089</v>
      </c>
      <c r="E11">
        <f>IF(D11="","",COUNTIF(D$2:D$31,"&gt;"&amp;D11)+1)</f>
        <v>10</v>
      </c>
    </row>
    <row r="12">
      <c r="A12" t="inlineStr">
        <is>
          <t>vanilla extract</t>
        </is>
      </c>
      <c r="B12" t="n">
        <v>0.05</v>
      </c>
      <c r="C12" s="2">
        <f>IF(OR(B12="",N($B$33)=0),"",B12/$B$33)</f>
        <v>0.00166666666666667</v>
      </c>
      <c r="D12">
        <f>IF(OR(A12="",B12=""),"",B12+8.8e-05)</f>
        <v>0.050088</v>
      </c>
      <c r="E12">
        <f>IF(D12="","",COUNTIF(D$2:D$31,"&gt;"&amp;D12)+1)</f>
        <v>11</v>
      </c>
    </row>
    <row r="13">
      <c r="C13" s="2" t="str">
        <f>IF(OR(B13="",N($B$33)=0),"",B13/$B$33)</f>
        <v/>
      </c>
      <c r="D13" t="str">
        <f>IF(OR(A13="",B13=""),"",B13+8.7e-05)</f>
        <v/>
      </c>
      <c r="E13" t="str">
        <f>IF(D13="","",COUNTIF(D$2:D$31,"&gt;"&amp;D13)+1)</f>
        <v/>
      </c>
    </row>
    <row r="14">
      <c r="C14" s="2" t="str">
        <f>IF(OR(B14="",N($B$33)=0),"",B14/$B$33)</f>
        <v/>
      </c>
      <c r="D14" t="str">
        <f>IF(OR(A14="",B14=""),"",B14+8.6e-05)</f>
        <v/>
      </c>
      <c r="E14" t="str">
        <f>IF(D14="","",COUNTIF(D$2:D$31,"&gt;"&amp;D14)+1)</f>
        <v/>
      </c>
    </row>
    <row r="15">
      <c r="C15" s="2" t="str">
        <f>IF(OR(B15="",N($B$33)=0),"",B15/$B$33)</f>
        <v/>
      </c>
      <c r="D15" t="str">
        <f>IF(OR(A15="",B15=""),"",B15+8.5e-05)</f>
        <v/>
      </c>
      <c r="E15" t="str">
        <f>IF(D15="","",COUNTIF(D$2:D$31,"&gt;"&amp;D15)+1)</f>
        <v/>
      </c>
    </row>
    <row r="16">
      <c r="C16" s="2" t="str">
        <f>IF(OR(B16="",N($B$33)=0),"",B16/$B$33)</f>
        <v/>
      </c>
      <c r="D16" t="str">
        <f>IF(OR(A16="",B16=""),"",B16+8.4e-05)</f>
        <v/>
      </c>
      <c r="E16" t="str">
        <f>IF(D16="","",COUNTIF(D$2:D$31,"&gt;"&amp;D16)+1)</f>
        <v/>
      </c>
    </row>
    <row r="17">
      <c r="C17" s="2" t="str">
        <f>IF(OR(B17="",N($B$33)=0),"",B17/$B$33)</f>
        <v/>
      </c>
      <c r="D17" t="str">
        <f>IF(OR(A17="",B17=""),"",B17+8.3e-05)</f>
        <v/>
      </c>
      <c r="E17" t="str">
        <f>IF(D17="","",COUNTIF(D$2:D$31,"&gt;"&amp;D17)+1)</f>
        <v/>
      </c>
    </row>
    <row r="18">
      <c r="C18" s="2" t="str">
        <f>IF(OR(B18="",N($B$33)=0),"",B18/$B$33)</f>
        <v/>
      </c>
      <c r="D18" t="str">
        <f>IF(OR(A18="",B18=""),"",B18+8.2e-05)</f>
        <v/>
      </c>
      <c r="E18" t="str">
        <f>IF(D18="","",COUNTIF(D$2:D$31,"&gt;"&amp;D18)+1)</f>
        <v/>
      </c>
    </row>
    <row r="19">
      <c r="C19" s="2" t="str">
        <f>IF(OR(B19="",N($B$33)=0),"",B19/$B$33)</f>
        <v/>
      </c>
      <c r="D19" t="str">
        <f>IF(OR(A19="",B19=""),"",B19+8.1e-05)</f>
        <v/>
      </c>
      <c r="E19" t="str">
        <f>IF(D19="","",COUNTIF(D$2:D$31,"&gt;"&amp;D19)+1)</f>
        <v/>
      </c>
    </row>
    <row r="20">
      <c r="C20" s="2" t="str">
        <f>IF(OR(B20="",N($B$33)=0),"",B20/$B$33)</f>
        <v/>
      </c>
      <c r="D20" t="str">
        <f>IF(OR(A20="",B20=""),"",B20+8e-05)</f>
        <v/>
      </c>
      <c r="E20" t="str">
        <f>IF(D20="","",COUNTIF(D$2:D$31,"&gt;"&amp;D20)+1)</f>
        <v/>
      </c>
    </row>
    <row r="21">
      <c r="C21" s="2" t="str">
        <f>IF(OR(B21="",N($B$33)=0),"",B21/$B$33)</f>
        <v/>
      </c>
      <c r="D21" t="str">
        <f>IF(OR(A21="",B21=""),"",B21+7.9e-05)</f>
        <v/>
      </c>
      <c r="E21" t="str">
        <f>IF(D21="","",COUNTIF(D$2:D$31,"&gt;"&amp;D21)+1)</f>
        <v/>
      </c>
    </row>
    <row r="22">
      <c r="C22" s="2" t="str">
        <f>IF(OR(B22="",N($B$33)=0),"",B22/$B$33)</f>
        <v/>
      </c>
      <c r="D22" t="str">
        <f>IF(OR(A22="",B22=""),"",B22+7.8e-05)</f>
        <v/>
      </c>
      <c r="E22" t="str">
        <f>IF(D22="","",COUNTIF(D$2:D$31,"&gt;"&amp;D22)+1)</f>
        <v/>
      </c>
    </row>
    <row r="23">
      <c r="C23" s="2" t="str">
        <f>IF(OR(B23="",N($B$33)=0),"",B23/$B$33)</f>
        <v/>
      </c>
      <c r="D23" t="str">
        <f>IF(OR(A23="",B23=""),"",B23+7.7e-05)</f>
        <v/>
      </c>
      <c r="E23" t="str">
        <f>IF(D23="","",COUNTIF(D$2:D$31,"&gt;"&amp;D23)+1)</f>
        <v/>
      </c>
    </row>
    <row r="24">
      <c r="C24" s="2" t="str">
        <f>IF(OR(B24="",N($B$33)=0),"",B24/$B$33)</f>
        <v/>
      </c>
      <c r="D24" t="str">
        <f>IF(OR(A24="",B24=""),"",B24+7.6e-05)</f>
        <v/>
      </c>
      <c r="E24" t="str">
        <f>IF(D24="","",COUNTIF(D$2:D$31,"&gt;"&amp;D24)+1)</f>
        <v/>
      </c>
    </row>
    <row r="25">
      <c r="C25" s="2" t="str">
        <f>IF(OR(B25="",N($B$33)=0),"",B25/$B$33)</f>
        <v/>
      </c>
      <c r="D25" t="str">
        <f>IF(OR(A25="",B25=""),"",B25+7.5e-05)</f>
        <v/>
      </c>
      <c r="E25" t="str">
        <f>IF(D25="","",COUNTIF(D$2:D$31,"&gt;"&amp;D25)+1)</f>
        <v/>
      </c>
    </row>
    <row r="26">
      <c r="C26" s="2" t="str">
        <f>IF(OR(B26="",N($B$33)=0),"",B26/$B$33)</f>
        <v/>
      </c>
      <c r="D26" t="str">
        <f>IF(OR(A26="",B26=""),"",B26+7.4e-05)</f>
        <v/>
      </c>
      <c r="E26" t="str">
        <f>IF(D26="","",COUNTIF(D$2:D$31,"&gt;"&amp;D26)+1)</f>
        <v/>
      </c>
    </row>
    <row r="27">
      <c r="C27" s="2" t="str">
        <f>IF(OR(B27="",N($B$33)=0),"",B27/$B$33)</f>
        <v/>
      </c>
      <c r="D27" t="str">
        <f>IF(OR(A27="",B27=""),"",B27+7.3e-05)</f>
        <v/>
      </c>
      <c r="E27" t="str">
        <f>IF(D27="","",COUNTIF(D$2:D$31,"&gt;"&amp;D27)+1)</f>
        <v/>
      </c>
    </row>
    <row r="28">
      <c r="C28" s="2" t="str">
        <f>IF(OR(B28="",N($B$33)=0),"",B28/$B$33)</f>
        <v/>
      </c>
      <c r="D28" t="str">
        <f>IF(OR(A28="",B28=""),"",B28+7.2e-05)</f>
        <v/>
      </c>
      <c r="E28" t="str">
        <f>IF(D28="","",COUNTIF(D$2:D$31,"&gt;"&amp;D28)+1)</f>
        <v/>
      </c>
    </row>
    <row r="29">
      <c r="C29" s="2" t="str">
        <f>IF(OR(B29="",N($B$33)=0),"",B29/$B$33)</f>
        <v/>
      </c>
      <c r="D29" t="str">
        <f>IF(OR(A29="",B29=""),"",B29+7.1e-05)</f>
        <v/>
      </c>
      <c r="E29" t="str">
        <f>IF(D29="","",COUNTIF(D$2:D$31,"&gt;"&amp;D29)+1)</f>
        <v/>
      </c>
    </row>
    <row r="30">
      <c r="C30" s="2" t="str">
        <f>IF(OR(B30="",N($B$33)=0),"",B30/$B$33)</f>
        <v/>
      </c>
      <c r="D30" t="str">
        <f>IF(OR(A30="",B30=""),"",B30+7e-05)</f>
        <v/>
      </c>
      <c r="E30" t="str">
        <f>IF(D30="","",COUNTIF(D$2:D$31,"&gt;"&amp;D30)+1)</f>
        <v/>
      </c>
    </row>
    <row r="31">
      <c r="C31" s="2" t="str">
        <f>IF(OR(B31="",N($B$33)=0),"",B31/$B$33)</f>
        <v/>
      </c>
      <c r="D31" t="str">
        <f>IF(OR(A31="",B31=""),"",B31+6.9e-05)</f>
        <v/>
      </c>
      <c r="E31" t="str">
        <f>IF(D31="","",COUNTIF(D$2:D$31,"&gt;"&amp;D31)+1)</f>
        <v/>
      </c>
    </row>
    <row r="32"/>
    <row r="33">
      <c r="A33" s="6" t="inlineStr">
        <is>
          <t>The whole recipe</t>
        </is>
      </c>
      <c r="B33" s="6">
        <f>SUM(B2:B31)</f>
        <v>30</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37"/>
  <sheetViews>
    <sheetView tabSelected="0" workbookViewId="0">
      <pane ySplit="1" topLeftCell="A2" activePane="bottomLeft" state="frozen"/>
      <selection pane="bottomLeft" activeCell="A1" sqref="A1"/>
    </sheetView>
  </sheetViews>
  <sheetFormatPr baseColWidth="8" defaultRowHeight="15"/>
  <cols>
    <col width="23" customWidth="1" min="1" max="1"/>
    <col width="44" customWidth="1" min="2" max="2"/>
    <col width="9" customWidth="1" min="3" max="3"/>
    <col width="60" customWidth="1" min="4" max="4"/>
    <col width="50" customWidth="1" min="5" max="5"/>
    <col width="36" customWidth="1" min="6" max="6"/>
  </cols>
  <sheetData>
    <row r="1">
      <c r="A1" s="1" t="inlineStr">
        <is>
          <t>Order</t>
        </is>
      </c>
      <c r="B1" s="1" t="inlineStr">
        <is>
          <t>Ingredient</t>
        </is>
      </c>
      <c r="C1" s="1" t="inlineStr">
        <is>
          <t>Share</t>
        </is>
      </c>
      <c r="D1" s="1" t="inlineStr">
        <is>
          <t>The list so far</t>
        </is>
      </c>
      <c r="E1" s="1" t="inlineStr">
        <is>
          <t>More than 2%, so far</t>
        </is>
      </c>
      <c r="F1" s="1" t="inlineStr">
        <is>
          <t>2% or less, so far</t>
        </is>
      </c>
    </row>
    <row r="2">
      <c r="A2" t="n">
        <v>1</v>
      </c>
      <c r="B2" t="str">
        <f>IFERROR(INDEX(Recipe!A$2:A$31,MATCH(1,Recipe!E$2:E$31,0)),"")</f>
        <v>rolled oats</v>
      </c>
      <c r="C2" s="2">
        <f>IF(B2="","",INDEX(Recipe!C$2:C$31,MATCH(1,Recipe!E$2:E$31,0)))</f>
        <v>0.44</v>
      </c>
      <c r="D2" t="str">
        <f>IF(B2="","",IF(""="",B2,""&amp;", "&amp;B2))</f>
        <v>rolled oats</v>
      </c>
      <c r="E2" t="str">
        <f>IF(OR(B2="",C2&lt;=0.02),"",IF(""="",B2,""&amp;", "&amp;B2))</f>
        <v>rolled oats</v>
      </c>
      <c r="F2" t="str">
        <f>IF(OR(B2="",C2&gt;0.02),"",IF(""="",B2,""&amp;", "&amp;B2))</f>
        <v/>
      </c>
    </row>
    <row r="3">
      <c r="A3" t="n">
        <v>2</v>
      </c>
      <c r="B3" t="str">
        <f>IFERROR(INDEX(Recipe!A$2:A$31,MATCH(2,Recipe!E$2:E$31,0)),"")</f>
        <v>honey</v>
      </c>
      <c r="C3" s="2">
        <f>IF(B3="","",INDEX(Recipe!C$2:C$31,MATCH(2,Recipe!E$2:E$31,0)))</f>
        <v>0.14</v>
      </c>
      <c r="D3" t="str">
        <f>IF(B3="",D2,IF(D2="",B3,D2&amp;", "&amp;B3))</f>
        <v>rolled oats, honey</v>
      </c>
      <c r="E3" t="str">
        <f>IF(OR(B3="",C3&lt;=0.02),E2,IF(E2="",B3,E2&amp;", "&amp;B3))</f>
        <v>rolled oats, honey</v>
      </c>
      <c r="F3" t="str">
        <f>IF(OR(B3="",C3&gt;0.02),F2,IF(F2="",B3,F2&amp;", "&amp;B3))</f>
        <v/>
      </c>
    </row>
    <row r="4">
      <c r="A4" t="n">
        <v>3</v>
      </c>
      <c r="B4" t="str">
        <f>IFERROR(INDEX(Recipe!A$2:A$31,MATCH(3,Recipe!E$2:E$31,0)),"")</f>
        <v>almonds</v>
      </c>
      <c r="C4" s="2">
        <f>IF(B4="","",INDEX(Recipe!C$2:C$31,MATCH(3,Recipe!E$2:E$31,0)))</f>
        <v>0.12</v>
      </c>
      <c r="D4" t="str">
        <f>IF(B4="",D3,IF(D3="",B4,D3&amp;", "&amp;B4))</f>
        <v>rolled oats, honey, almonds</v>
      </c>
      <c r="E4" t="str">
        <f>IF(OR(B4="",C4&lt;=0.02),E3,IF(E3="",B4,E3&amp;", "&amp;B4))</f>
        <v>rolled oats, honey, almonds</v>
      </c>
      <c r="F4" t="str">
        <f>IF(OR(B4="",C4&gt;0.02),F3,IF(F3="",B4,F3&amp;", "&amp;B4))</f>
        <v/>
      </c>
    </row>
    <row r="5">
      <c r="A5" t="n">
        <v>4</v>
      </c>
      <c r="B5" t="str">
        <f>IFERROR(INDEX(Recipe!A$2:A$31,MATCH(4,Recipe!E$2:E$31,0)),"")</f>
        <v>sunflower oil</v>
      </c>
      <c r="C5" s="2">
        <f>IF(B5="","",INDEX(Recipe!C$2:C$31,MATCH(4,Recipe!E$2:E$31,0)))</f>
        <v>0.09</v>
      </c>
      <c r="D5" t="str">
        <f>IF(B5="",D4,IF(D4="",B5,D4&amp;", "&amp;B5))</f>
        <v>rolled oats, honey, almonds, sunflower oil</v>
      </c>
      <c r="E5" t="str">
        <f>IF(OR(B5="",C5&lt;=0.02),E4,IF(E4="",B5,E4&amp;", "&amp;B5))</f>
        <v>rolled oats, honey, almonds, sunflower oil</v>
      </c>
      <c r="F5" t="str">
        <f>IF(OR(B5="",C5&gt;0.02),F4,IF(F4="",B5,F4&amp;", "&amp;B5))</f>
        <v/>
      </c>
    </row>
    <row r="6">
      <c r="A6" t="n">
        <v>5</v>
      </c>
      <c r="B6" t="str">
        <f>IFERROR(INDEX(Recipe!A$2:A$31,MATCH(5,Recipe!E$2:E$31,0)),"")</f>
        <v>pumpkin seeds</v>
      </c>
      <c r="C6" s="2">
        <f>IF(B6="","",INDEX(Recipe!C$2:C$31,MATCH(5,Recipe!E$2:E$31,0)))</f>
        <v>0.06</v>
      </c>
      <c r="D6" t="str">
        <f>IF(B6="",D5,IF(D5="",B6,D5&amp;", "&amp;B6))</f>
        <v>rolled oats, honey, almonds, sunflower oil, pumpkin seeds</v>
      </c>
      <c r="E6" t="str">
        <f>IF(OR(B6="",C6&lt;=0.02),E5,IF(E5="",B6,E5&amp;", "&amp;B6))</f>
        <v>rolled oats, honey, almonds, sunflower oil, pumpkin seeds</v>
      </c>
      <c r="F6" t="str">
        <f>IF(OR(B6="",C6&gt;0.02),F5,IF(F5="",B6,F5&amp;", "&amp;B6))</f>
        <v/>
      </c>
    </row>
    <row r="7">
      <c r="A7" t="n">
        <v>6</v>
      </c>
      <c r="B7" t="str">
        <f>IFERROR(INDEX(Recipe!A$2:A$31,MATCH(6,Recipe!E$2:E$31,0)),"")</f>
        <v>coconut</v>
      </c>
      <c r="C7" s="2">
        <f>IF(B7="","",INDEX(Recipe!C$2:C$31,MATCH(6,Recipe!E$2:E$31,0)))</f>
        <v>0.05</v>
      </c>
      <c r="D7" t="str">
        <f>IF(B7="",D6,IF(D6="",B7,D6&amp;", "&amp;B7))</f>
        <v>rolled oats, honey, almonds, sunflower oil, pumpkin seeds, coconut</v>
      </c>
      <c r="E7" t="str">
        <f>IF(OR(B7="",C7&lt;=0.02),E6,IF(E6="",B7,E6&amp;", "&amp;B7))</f>
        <v>rolled oats, honey, almonds, sunflower oil, pumpkin seeds, coconut</v>
      </c>
      <c r="F7" t="str">
        <f>IF(OR(B7="",C7&gt;0.02),F6,IF(F6="",B7,F6&amp;", "&amp;B7))</f>
        <v/>
      </c>
    </row>
    <row r="8">
      <c r="A8" t="n">
        <v>7</v>
      </c>
      <c r="B8" t="str">
        <f>IFERROR(INDEX(Recipe!A$2:A$31,MATCH(7,Recipe!E$2:E$31,0)),"")</f>
        <v>dried cranberries (cranberries, sugar, sunflower oil)</v>
      </c>
      <c r="C8" s="2">
        <f>IF(B8="","",INDEX(Recipe!C$2:C$31,MATCH(7,Recipe!E$2:E$31,0)))</f>
        <v>0.05</v>
      </c>
      <c r="D8" t="str">
        <f>IF(B8="",D7,IF(D7="",B8,D7&amp;", "&amp;B8))</f>
        <v>rolled oats, honey, almonds, sunflower oil, pumpkin seeds, coconut, dried cranberries (cranberries, sugar, sunflower oil)</v>
      </c>
      <c r="E8" t="str">
        <f>IF(OR(B8="",C8&lt;=0.02),E7,IF(E7="",B8,E7&amp;", "&amp;B8))</f>
        <v>rolled oats, honey, almonds, sunflower oil, pumpkin seeds, coconut, dried cranberries (cranberries, sugar, sunflower oil)</v>
      </c>
      <c r="F8" t="str">
        <f>IF(OR(B8="",C8&gt;0.02),F7,IF(F7="",B8,F7&amp;", "&amp;B8))</f>
        <v/>
      </c>
    </row>
    <row r="9">
      <c r="A9" t="n">
        <v>8</v>
      </c>
      <c r="B9" t="str">
        <f>IFERROR(INDEX(Recipe!A$2:A$31,MATCH(8,Recipe!E$2:E$31,0)),"")</f>
        <v>brown sugar</v>
      </c>
      <c r="C9" s="2">
        <f>IF(B9="","",INDEX(Recipe!C$2:C$31,MATCH(8,Recipe!E$2:E$31,0)))</f>
        <v>0.04</v>
      </c>
      <c r="D9" t="str">
        <f>IF(B9="",D8,IF(D8="",B9,D8&amp;", "&amp;B9))</f>
        <v>rolled oats, honey, almonds, sunflower oil, pumpkin seeds, coconut, dried cranberries (cranberries, sugar, sunflower oil), brown sugar</v>
      </c>
      <c r="E9" t="str">
        <f>IF(OR(B9="",C9&lt;=0.02),E8,IF(E8="",B9,E8&amp;", "&amp;B9))</f>
        <v>rolled oats, honey, almonds, sunflower oil, pumpkin seeds, coconut, dried cranberries (cranberries, sugar, sunflower oil), brown sugar</v>
      </c>
      <c r="F9" t="str">
        <f>IF(OR(B9="",C9&gt;0.02),F8,IF(F8="",B9,F8&amp;", "&amp;B9))</f>
        <v/>
      </c>
    </row>
    <row r="10">
      <c r="A10" t="n">
        <v>9</v>
      </c>
      <c r="B10" t="str">
        <f>IFERROR(INDEX(Recipe!A$2:A$31,MATCH(9,Recipe!E$2:E$31,0)),"")</f>
        <v>sea salt</v>
      </c>
      <c r="C10" s="2">
        <f>IF(B10="","",INDEX(Recipe!C$2:C$31,MATCH(9,Recipe!E$2:E$31,0)))</f>
        <v>0.005</v>
      </c>
      <c r="D10" t="str">
        <f>IF(B10="",D9,IF(D9="",B10,D9&amp;", "&amp;B10))</f>
        <v>rolled oats, honey, almonds, sunflower oil, pumpkin seeds, coconut, dried cranberries (cranberries, sugar, sunflower oil), brown sugar, sea salt</v>
      </c>
      <c r="E10" t="str">
        <f>IF(OR(B10="",C10&lt;=0.02),E9,IF(E9="",B10,E9&amp;", "&amp;B10))</f>
        <v>rolled oats, honey, almonds, sunflower oil, pumpkin seeds, coconut, dried cranberries (cranberries, sugar, sunflower oil), brown sugar</v>
      </c>
      <c r="F10" t="str">
        <f>IF(OR(B10="",C10&gt;0.02),F9,IF(F9="",B10,F9&amp;", "&amp;B10))</f>
        <v>sea salt</v>
      </c>
    </row>
    <row r="11">
      <c r="A11" t="n">
        <v>10</v>
      </c>
      <c r="B11" t="str">
        <f>IFERROR(INDEX(Recipe!A$2:A$31,MATCH(10,Recipe!E$2:E$31,0)),"")</f>
        <v>cinnamon</v>
      </c>
      <c r="C11" s="2">
        <f>IF(B11="","",INDEX(Recipe!C$2:C$31,MATCH(10,Recipe!E$2:E$31,0)))</f>
        <v>0.00333333333333333</v>
      </c>
      <c r="D11" t="str">
        <f>IF(B11="",D10,IF(D10="",B11,D10&amp;", "&amp;B11))</f>
        <v>rolled oats, honey, almonds, sunflower oil, pumpkin seeds, coconut, dried cranberries (cranberries, sugar, sunflower oil), brown sugar, sea salt, cinnamon</v>
      </c>
      <c r="E11" t="str">
        <f>IF(OR(B11="",C11&lt;=0.02),E10,IF(E10="",B11,E10&amp;", "&amp;B11))</f>
        <v>rolled oats, honey, almonds, sunflower oil, pumpkin seeds, coconut, dried cranberries (cranberries, sugar, sunflower oil), brown sugar</v>
      </c>
      <c r="F11" t="str">
        <f>IF(OR(B11="",C11&gt;0.02),F10,IF(F10="",B11,F10&amp;", "&amp;B11))</f>
        <v>sea salt, cinnamon</v>
      </c>
    </row>
    <row r="12">
      <c r="A12" t="n">
        <v>11</v>
      </c>
      <c r="B12" t="str">
        <f>IFERROR(INDEX(Recipe!A$2:A$31,MATCH(11,Recipe!E$2:E$31,0)),"")</f>
        <v>vanilla extract</v>
      </c>
      <c r="C12" s="2">
        <f>IF(B12="","",INDEX(Recipe!C$2:C$31,MATCH(11,Recipe!E$2:E$31,0)))</f>
        <v>0.00166666666666667</v>
      </c>
      <c r="D12" t="str">
        <f>IF(B12="",D11,IF(D11="",B12,D11&amp;", "&amp;B12))</f>
        <v>rolled oats, honey, almonds, sunflower oil, pumpkin seeds, coconut, dried cranberries (cranberries, sugar, sunflower oil), brown sugar, sea salt, cinnamon, vanilla extract</v>
      </c>
      <c r="E12" t="str">
        <f>IF(OR(B12="",C12&lt;=0.02),E11,IF(E11="",B12,E11&amp;", "&amp;B12))</f>
        <v>rolled oats, honey, almonds, sunflower oil, pumpkin seeds, coconut, dried cranberries (cranberries, sugar, sunflower oil), brown sugar</v>
      </c>
      <c r="F12" t="str">
        <f>IF(OR(B12="",C12&gt;0.02),F11,IF(F11="",B12,F11&amp;", "&amp;B12))</f>
        <v>sea salt, cinnamon, vanilla extract</v>
      </c>
    </row>
    <row r="13">
      <c r="A13" t="n">
        <v>12</v>
      </c>
      <c r="B13" t="str">
        <f>IFERROR(INDEX(Recipe!A$2:A$31,MATCH(12,Recipe!E$2:E$31,0)),"")</f>
        <v/>
      </c>
      <c r="C13" s="2" t="str">
        <f>IF(B13="","",INDEX(Recipe!C$2:C$31,MATCH(12,Recipe!E$2:E$31,0)))</f>
        <v/>
      </c>
      <c r="D13" t="str">
        <f>IF(B13="",D12,IF(D12="",B13,D12&amp;", "&amp;B13))</f>
        <v>rolled oats, honey, almonds, sunflower oil, pumpkin seeds, coconut, dried cranberries (cranberries, sugar, sunflower oil), brown sugar, sea salt, cinnamon, vanilla extract</v>
      </c>
      <c r="E13" t="str">
        <f>IF(OR(B13="",C13&lt;=0.02),E12,IF(E12="",B13,E12&amp;", "&amp;B13))</f>
        <v>rolled oats, honey, almonds, sunflower oil, pumpkin seeds, coconut, dried cranberries (cranberries, sugar, sunflower oil), brown sugar</v>
      </c>
      <c r="F13" t="str">
        <f>IF(OR(B13="",C13&gt;0.02),F12,IF(F12="",B13,F12&amp;", "&amp;B13))</f>
        <v>sea salt, cinnamon, vanilla extract</v>
      </c>
    </row>
    <row r="14">
      <c r="A14" t="n">
        <v>13</v>
      </c>
      <c r="B14" t="str">
        <f>IFERROR(INDEX(Recipe!A$2:A$31,MATCH(13,Recipe!E$2:E$31,0)),"")</f>
        <v/>
      </c>
      <c r="C14" s="2" t="str">
        <f>IF(B14="","",INDEX(Recipe!C$2:C$31,MATCH(13,Recipe!E$2:E$31,0)))</f>
        <v/>
      </c>
      <c r="D14" t="str">
        <f>IF(B14="",D13,IF(D13="",B14,D13&amp;", "&amp;B14))</f>
        <v>rolled oats, honey, almonds, sunflower oil, pumpkin seeds, coconut, dried cranberries (cranberries, sugar, sunflower oil), brown sugar, sea salt, cinnamon, vanilla extract</v>
      </c>
      <c r="E14" t="str">
        <f>IF(OR(B14="",C14&lt;=0.02),E13,IF(E13="",B14,E13&amp;", "&amp;B14))</f>
        <v>rolled oats, honey, almonds, sunflower oil, pumpkin seeds, coconut, dried cranberries (cranberries, sugar, sunflower oil), brown sugar</v>
      </c>
      <c r="F14" t="str">
        <f>IF(OR(B14="",C14&gt;0.02),F13,IF(F13="",B14,F13&amp;", "&amp;B14))</f>
        <v>sea salt, cinnamon, vanilla extract</v>
      </c>
    </row>
    <row r="15">
      <c r="A15" t="n">
        <v>14</v>
      </c>
      <c r="B15" t="str">
        <f>IFERROR(INDEX(Recipe!A$2:A$31,MATCH(14,Recipe!E$2:E$31,0)),"")</f>
        <v/>
      </c>
      <c r="C15" s="2" t="str">
        <f>IF(B15="","",INDEX(Recipe!C$2:C$31,MATCH(14,Recipe!E$2:E$31,0)))</f>
        <v/>
      </c>
      <c r="D15" t="str">
        <f>IF(B15="",D14,IF(D14="",B15,D14&amp;", "&amp;B15))</f>
        <v>rolled oats, honey, almonds, sunflower oil, pumpkin seeds, coconut, dried cranberries (cranberries, sugar, sunflower oil), brown sugar, sea salt, cinnamon, vanilla extract</v>
      </c>
      <c r="E15" t="str">
        <f>IF(OR(B15="",C15&lt;=0.02),E14,IF(E14="",B15,E14&amp;", "&amp;B15))</f>
        <v>rolled oats, honey, almonds, sunflower oil, pumpkin seeds, coconut, dried cranberries (cranberries, sugar, sunflower oil), brown sugar</v>
      </c>
      <c r="F15" t="str">
        <f>IF(OR(B15="",C15&gt;0.02),F14,IF(F14="",B15,F14&amp;", "&amp;B15))</f>
        <v>sea salt, cinnamon, vanilla extract</v>
      </c>
    </row>
    <row r="16">
      <c r="A16" t="n">
        <v>15</v>
      </c>
      <c r="B16" t="str">
        <f>IFERROR(INDEX(Recipe!A$2:A$31,MATCH(15,Recipe!E$2:E$31,0)),"")</f>
        <v/>
      </c>
      <c r="C16" s="2" t="str">
        <f>IF(B16="","",INDEX(Recipe!C$2:C$31,MATCH(15,Recipe!E$2:E$31,0)))</f>
        <v/>
      </c>
      <c r="D16" t="str">
        <f>IF(B16="",D15,IF(D15="",B16,D15&amp;", "&amp;B16))</f>
        <v>rolled oats, honey, almonds, sunflower oil, pumpkin seeds, coconut, dried cranberries (cranberries, sugar, sunflower oil), brown sugar, sea salt, cinnamon, vanilla extract</v>
      </c>
      <c r="E16" t="str">
        <f>IF(OR(B16="",C16&lt;=0.02),E15,IF(E15="",B16,E15&amp;", "&amp;B16))</f>
        <v>rolled oats, honey, almonds, sunflower oil, pumpkin seeds, coconut, dried cranberries (cranberries, sugar, sunflower oil), brown sugar</v>
      </c>
      <c r="F16" t="str">
        <f>IF(OR(B16="",C16&gt;0.02),F15,IF(F15="",B16,F15&amp;", "&amp;B16))</f>
        <v>sea salt, cinnamon, vanilla extract</v>
      </c>
    </row>
    <row r="17">
      <c r="A17" t="n">
        <v>16</v>
      </c>
      <c r="B17" t="str">
        <f>IFERROR(INDEX(Recipe!A$2:A$31,MATCH(16,Recipe!E$2:E$31,0)),"")</f>
        <v/>
      </c>
      <c r="C17" s="2" t="str">
        <f>IF(B17="","",INDEX(Recipe!C$2:C$31,MATCH(16,Recipe!E$2:E$31,0)))</f>
        <v/>
      </c>
      <c r="D17" t="str">
        <f>IF(B17="",D16,IF(D16="",B17,D16&amp;", "&amp;B17))</f>
        <v>rolled oats, honey, almonds, sunflower oil, pumpkin seeds, coconut, dried cranberries (cranberries, sugar, sunflower oil), brown sugar, sea salt, cinnamon, vanilla extract</v>
      </c>
      <c r="E17" t="str">
        <f>IF(OR(B17="",C17&lt;=0.02),E16,IF(E16="",B17,E16&amp;", "&amp;B17))</f>
        <v>rolled oats, honey, almonds, sunflower oil, pumpkin seeds, coconut, dried cranberries (cranberries, sugar, sunflower oil), brown sugar</v>
      </c>
      <c r="F17" t="str">
        <f>IF(OR(B17="",C17&gt;0.02),F16,IF(F16="",B17,F16&amp;", "&amp;B17))</f>
        <v>sea salt, cinnamon, vanilla extract</v>
      </c>
    </row>
    <row r="18">
      <c r="A18" t="n">
        <v>17</v>
      </c>
      <c r="B18" t="str">
        <f>IFERROR(INDEX(Recipe!A$2:A$31,MATCH(17,Recipe!E$2:E$31,0)),"")</f>
        <v/>
      </c>
      <c r="C18" s="2" t="str">
        <f>IF(B18="","",INDEX(Recipe!C$2:C$31,MATCH(17,Recipe!E$2:E$31,0)))</f>
        <v/>
      </c>
      <c r="D18" t="str">
        <f>IF(B18="",D17,IF(D17="",B18,D17&amp;", "&amp;B18))</f>
        <v>rolled oats, honey, almonds, sunflower oil, pumpkin seeds, coconut, dried cranberries (cranberries, sugar, sunflower oil), brown sugar, sea salt, cinnamon, vanilla extract</v>
      </c>
      <c r="E18" t="str">
        <f>IF(OR(B18="",C18&lt;=0.02),E17,IF(E17="",B18,E17&amp;", "&amp;B18))</f>
        <v>rolled oats, honey, almonds, sunflower oil, pumpkin seeds, coconut, dried cranberries (cranberries, sugar, sunflower oil), brown sugar</v>
      </c>
      <c r="F18" t="str">
        <f>IF(OR(B18="",C18&gt;0.02),F17,IF(F17="",B18,F17&amp;", "&amp;B18))</f>
        <v>sea salt, cinnamon, vanilla extract</v>
      </c>
    </row>
    <row r="19">
      <c r="A19" t="n">
        <v>18</v>
      </c>
      <c r="B19" t="str">
        <f>IFERROR(INDEX(Recipe!A$2:A$31,MATCH(18,Recipe!E$2:E$31,0)),"")</f>
        <v/>
      </c>
      <c r="C19" s="2" t="str">
        <f>IF(B19="","",INDEX(Recipe!C$2:C$31,MATCH(18,Recipe!E$2:E$31,0)))</f>
        <v/>
      </c>
      <c r="D19" t="str">
        <f>IF(B19="",D18,IF(D18="",B19,D18&amp;", "&amp;B19))</f>
        <v>rolled oats, honey, almonds, sunflower oil, pumpkin seeds, coconut, dried cranberries (cranberries, sugar, sunflower oil), brown sugar, sea salt, cinnamon, vanilla extract</v>
      </c>
      <c r="E19" t="str">
        <f>IF(OR(B19="",C19&lt;=0.02),E18,IF(E18="",B19,E18&amp;", "&amp;B19))</f>
        <v>rolled oats, honey, almonds, sunflower oil, pumpkin seeds, coconut, dried cranberries (cranberries, sugar, sunflower oil), brown sugar</v>
      </c>
      <c r="F19" t="str">
        <f>IF(OR(B19="",C19&gt;0.02),F18,IF(F18="",B19,F18&amp;", "&amp;B19))</f>
        <v>sea salt, cinnamon, vanilla extract</v>
      </c>
    </row>
    <row r="20">
      <c r="A20" t="n">
        <v>19</v>
      </c>
      <c r="B20" t="str">
        <f>IFERROR(INDEX(Recipe!A$2:A$31,MATCH(19,Recipe!E$2:E$31,0)),"")</f>
        <v/>
      </c>
      <c r="C20" s="2" t="str">
        <f>IF(B20="","",INDEX(Recipe!C$2:C$31,MATCH(19,Recipe!E$2:E$31,0)))</f>
        <v/>
      </c>
      <c r="D20" t="str">
        <f>IF(B20="",D19,IF(D19="",B20,D19&amp;", "&amp;B20))</f>
        <v>rolled oats, honey, almonds, sunflower oil, pumpkin seeds, coconut, dried cranberries (cranberries, sugar, sunflower oil), brown sugar, sea salt, cinnamon, vanilla extract</v>
      </c>
      <c r="E20" t="str">
        <f>IF(OR(B20="",C20&lt;=0.02),E19,IF(E19="",B20,E19&amp;", "&amp;B20))</f>
        <v>rolled oats, honey, almonds, sunflower oil, pumpkin seeds, coconut, dried cranberries (cranberries, sugar, sunflower oil), brown sugar</v>
      </c>
      <c r="F20" t="str">
        <f>IF(OR(B20="",C20&gt;0.02),F19,IF(F19="",B20,F19&amp;", "&amp;B20))</f>
        <v>sea salt, cinnamon, vanilla extract</v>
      </c>
    </row>
    <row r="21">
      <c r="A21" t="n">
        <v>20</v>
      </c>
      <c r="B21" t="str">
        <f>IFERROR(INDEX(Recipe!A$2:A$31,MATCH(20,Recipe!E$2:E$31,0)),"")</f>
        <v/>
      </c>
      <c r="C21" s="2" t="str">
        <f>IF(B21="","",INDEX(Recipe!C$2:C$31,MATCH(20,Recipe!E$2:E$31,0)))</f>
        <v/>
      </c>
      <c r="D21" t="str">
        <f>IF(B21="",D20,IF(D20="",B21,D20&amp;", "&amp;B21))</f>
        <v>rolled oats, honey, almonds, sunflower oil, pumpkin seeds, coconut, dried cranberries (cranberries, sugar, sunflower oil), brown sugar, sea salt, cinnamon, vanilla extract</v>
      </c>
      <c r="E21" t="str">
        <f>IF(OR(B21="",C21&lt;=0.02),E20,IF(E20="",B21,E20&amp;", "&amp;B21))</f>
        <v>rolled oats, honey, almonds, sunflower oil, pumpkin seeds, coconut, dried cranberries (cranberries, sugar, sunflower oil), brown sugar</v>
      </c>
      <c r="F21" t="str">
        <f>IF(OR(B21="",C21&gt;0.02),F20,IF(F20="",B21,F20&amp;", "&amp;B21))</f>
        <v>sea salt, cinnamon, vanilla extract</v>
      </c>
    </row>
    <row r="22">
      <c r="A22" t="n">
        <v>21</v>
      </c>
      <c r="B22" t="str">
        <f>IFERROR(INDEX(Recipe!A$2:A$31,MATCH(21,Recipe!E$2:E$31,0)),"")</f>
        <v/>
      </c>
      <c r="C22" s="2" t="str">
        <f>IF(B22="","",INDEX(Recipe!C$2:C$31,MATCH(21,Recipe!E$2:E$31,0)))</f>
        <v/>
      </c>
      <c r="D22" t="str">
        <f>IF(B22="",D21,IF(D21="",B22,D21&amp;", "&amp;B22))</f>
        <v>rolled oats, honey, almonds, sunflower oil, pumpkin seeds, coconut, dried cranberries (cranberries, sugar, sunflower oil), brown sugar, sea salt, cinnamon, vanilla extract</v>
      </c>
      <c r="E22" t="str">
        <f>IF(OR(B22="",C22&lt;=0.02),E21,IF(E21="",B22,E21&amp;", "&amp;B22))</f>
        <v>rolled oats, honey, almonds, sunflower oil, pumpkin seeds, coconut, dried cranberries (cranberries, sugar, sunflower oil), brown sugar</v>
      </c>
      <c r="F22" t="str">
        <f>IF(OR(B22="",C22&gt;0.02),F21,IF(F21="",B22,F21&amp;", "&amp;B22))</f>
        <v>sea salt, cinnamon, vanilla extract</v>
      </c>
    </row>
    <row r="23">
      <c r="A23" t="n">
        <v>22</v>
      </c>
      <c r="B23" t="str">
        <f>IFERROR(INDEX(Recipe!A$2:A$31,MATCH(22,Recipe!E$2:E$31,0)),"")</f>
        <v/>
      </c>
      <c r="C23" s="2" t="str">
        <f>IF(B23="","",INDEX(Recipe!C$2:C$31,MATCH(22,Recipe!E$2:E$31,0)))</f>
        <v/>
      </c>
      <c r="D23" t="str">
        <f>IF(B23="",D22,IF(D22="",B23,D22&amp;", "&amp;B23))</f>
        <v>rolled oats, honey, almonds, sunflower oil, pumpkin seeds, coconut, dried cranberries (cranberries, sugar, sunflower oil), brown sugar, sea salt, cinnamon, vanilla extract</v>
      </c>
      <c r="E23" t="str">
        <f>IF(OR(B23="",C23&lt;=0.02),E22,IF(E22="",B23,E22&amp;", "&amp;B23))</f>
        <v>rolled oats, honey, almonds, sunflower oil, pumpkin seeds, coconut, dried cranberries (cranberries, sugar, sunflower oil), brown sugar</v>
      </c>
      <c r="F23" t="str">
        <f>IF(OR(B23="",C23&gt;0.02),F22,IF(F22="",B23,F22&amp;", "&amp;B23))</f>
        <v>sea salt, cinnamon, vanilla extract</v>
      </c>
    </row>
    <row r="24">
      <c r="A24" t="n">
        <v>23</v>
      </c>
      <c r="B24" t="str">
        <f>IFERROR(INDEX(Recipe!A$2:A$31,MATCH(23,Recipe!E$2:E$31,0)),"")</f>
        <v/>
      </c>
      <c r="C24" s="2" t="str">
        <f>IF(B24="","",INDEX(Recipe!C$2:C$31,MATCH(23,Recipe!E$2:E$31,0)))</f>
        <v/>
      </c>
      <c r="D24" t="str">
        <f>IF(B24="",D23,IF(D23="",B24,D23&amp;", "&amp;B24))</f>
        <v>rolled oats, honey, almonds, sunflower oil, pumpkin seeds, coconut, dried cranberries (cranberries, sugar, sunflower oil), brown sugar, sea salt, cinnamon, vanilla extract</v>
      </c>
      <c r="E24" t="str">
        <f>IF(OR(B24="",C24&lt;=0.02),E23,IF(E23="",B24,E23&amp;", "&amp;B24))</f>
        <v>rolled oats, honey, almonds, sunflower oil, pumpkin seeds, coconut, dried cranberries (cranberries, sugar, sunflower oil), brown sugar</v>
      </c>
      <c r="F24" t="str">
        <f>IF(OR(B24="",C24&gt;0.02),F23,IF(F23="",B24,F23&amp;", "&amp;B24))</f>
        <v>sea salt, cinnamon, vanilla extract</v>
      </c>
    </row>
    <row r="25">
      <c r="A25" t="n">
        <v>24</v>
      </c>
      <c r="B25" t="str">
        <f>IFERROR(INDEX(Recipe!A$2:A$31,MATCH(24,Recipe!E$2:E$31,0)),"")</f>
        <v/>
      </c>
      <c r="C25" s="2" t="str">
        <f>IF(B25="","",INDEX(Recipe!C$2:C$31,MATCH(24,Recipe!E$2:E$31,0)))</f>
        <v/>
      </c>
      <c r="D25" t="str">
        <f>IF(B25="",D24,IF(D24="",B25,D24&amp;", "&amp;B25))</f>
        <v>rolled oats, honey, almonds, sunflower oil, pumpkin seeds, coconut, dried cranberries (cranberries, sugar, sunflower oil), brown sugar, sea salt, cinnamon, vanilla extract</v>
      </c>
      <c r="E25" t="str">
        <f>IF(OR(B25="",C25&lt;=0.02),E24,IF(E24="",B25,E24&amp;", "&amp;B25))</f>
        <v>rolled oats, honey, almonds, sunflower oil, pumpkin seeds, coconut, dried cranberries (cranberries, sugar, sunflower oil), brown sugar</v>
      </c>
      <c r="F25" t="str">
        <f>IF(OR(B25="",C25&gt;0.02),F24,IF(F24="",B25,F24&amp;", "&amp;B25))</f>
        <v>sea salt, cinnamon, vanilla extract</v>
      </c>
    </row>
    <row r="26">
      <c r="A26" t="n">
        <v>25</v>
      </c>
      <c r="B26" t="str">
        <f>IFERROR(INDEX(Recipe!A$2:A$31,MATCH(25,Recipe!E$2:E$31,0)),"")</f>
        <v/>
      </c>
      <c r="C26" s="2" t="str">
        <f>IF(B26="","",INDEX(Recipe!C$2:C$31,MATCH(25,Recipe!E$2:E$31,0)))</f>
        <v/>
      </c>
      <c r="D26" t="str">
        <f>IF(B26="",D25,IF(D25="",B26,D25&amp;", "&amp;B26))</f>
        <v>rolled oats, honey, almonds, sunflower oil, pumpkin seeds, coconut, dried cranberries (cranberries, sugar, sunflower oil), brown sugar, sea salt, cinnamon, vanilla extract</v>
      </c>
      <c r="E26" t="str">
        <f>IF(OR(B26="",C26&lt;=0.02),E25,IF(E25="",B26,E25&amp;", "&amp;B26))</f>
        <v>rolled oats, honey, almonds, sunflower oil, pumpkin seeds, coconut, dried cranberries (cranberries, sugar, sunflower oil), brown sugar</v>
      </c>
      <c r="F26" t="str">
        <f>IF(OR(B26="",C26&gt;0.02),F25,IF(F25="",B26,F25&amp;", "&amp;B26))</f>
        <v>sea salt, cinnamon, vanilla extract</v>
      </c>
    </row>
    <row r="27">
      <c r="A27" t="n">
        <v>26</v>
      </c>
      <c r="B27" t="str">
        <f>IFERROR(INDEX(Recipe!A$2:A$31,MATCH(26,Recipe!E$2:E$31,0)),"")</f>
        <v/>
      </c>
      <c r="C27" s="2" t="str">
        <f>IF(B27="","",INDEX(Recipe!C$2:C$31,MATCH(26,Recipe!E$2:E$31,0)))</f>
        <v/>
      </c>
      <c r="D27" t="str">
        <f>IF(B27="",D26,IF(D26="",B27,D26&amp;", "&amp;B27))</f>
        <v>rolled oats, honey, almonds, sunflower oil, pumpkin seeds, coconut, dried cranberries (cranberries, sugar, sunflower oil), brown sugar, sea salt, cinnamon, vanilla extract</v>
      </c>
      <c r="E27" t="str">
        <f>IF(OR(B27="",C27&lt;=0.02),E26,IF(E26="",B27,E26&amp;", "&amp;B27))</f>
        <v>rolled oats, honey, almonds, sunflower oil, pumpkin seeds, coconut, dried cranberries (cranberries, sugar, sunflower oil), brown sugar</v>
      </c>
      <c r="F27" t="str">
        <f>IF(OR(B27="",C27&gt;0.02),F26,IF(F26="",B27,F26&amp;", "&amp;B27))</f>
        <v>sea salt, cinnamon, vanilla extract</v>
      </c>
    </row>
    <row r="28">
      <c r="A28" t="n">
        <v>27</v>
      </c>
      <c r="B28" t="str">
        <f>IFERROR(INDEX(Recipe!A$2:A$31,MATCH(27,Recipe!E$2:E$31,0)),"")</f>
        <v/>
      </c>
      <c r="C28" s="2" t="str">
        <f>IF(B28="","",INDEX(Recipe!C$2:C$31,MATCH(27,Recipe!E$2:E$31,0)))</f>
        <v/>
      </c>
      <c r="D28" t="str">
        <f>IF(B28="",D27,IF(D27="",B28,D27&amp;", "&amp;B28))</f>
        <v>rolled oats, honey, almonds, sunflower oil, pumpkin seeds, coconut, dried cranberries (cranberries, sugar, sunflower oil), brown sugar, sea salt, cinnamon, vanilla extract</v>
      </c>
      <c r="E28" t="str">
        <f>IF(OR(B28="",C28&lt;=0.02),E27,IF(E27="",B28,E27&amp;", "&amp;B28))</f>
        <v>rolled oats, honey, almonds, sunflower oil, pumpkin seeds, coconut, dried cranberries (cranberries, sugar, sunflower oil), brown sugar</v>
      </c>
      <c r="F28" t="str">
        <f>IF(OR(B28="",C28&gt;0.02),F27,IF(F27="",B28,F27&amp;", "&amp;B28))</f>
        <v>sea salt, cinnamon, vanilla extract</v>
      </c>
    </row>
    <row r="29">
      <c r="A29" t="n">
        <v>28</v>
      </c>
      <c r="B29" t="str">
        <f>IFERROR(INDEX(Recipe!A$2:A$31,MATCH(28,Recipe!E$2:E$31,0)),"")</f>
        <v/>
      </c>
      <c r="C29" s="2" t="str">
        <f>IF(B29="","",INDEX(Recipe!C$2:C$31,MATCH(28,Recipe!E$2:E$31,0)))</f>
        <v/>
      </c>
      <c r="D29" t="str">
        <f>IF(B29="",D28,IF(D28="",B29,D28&amp;", "&amp;B29))</f>
        <v>rolled oats, honey, almonds, sunflower oil, pumpkin seeds, coconut, dried cranberries (cranberries, sugar, sunflower oil), brown sugar, sea salt, cinnamon, vanilla extract</v>
      </c>
      <c r="E29" t="str">
        <f>IF(OR(B29="",C29&lt;=0.02),E28,IF(E28="",B29,E28&amp;", "&amp;B29))</f>
        <v>rolled oats, honey, almonds, sunflower oil, pumpkin seeds, coconut, dried cranberries (cranberries, sugar, sunflower oil), brown sugar</v>
      </c>
      <c r="F29" t="str">
        <f>IF(OR(B29="",C29&gt;0.02),F28,IF(F28="",B29,F28&amp;", "&amp;B29))</f>
        <v>sea salt, cinnamon, vanilla extract</v>
      </c>
    </row>
    <row r="30">
      <c r="A30" t="n">
        <v>29</v>
      </c>
      <c r="B30" t="str">
        <f>IFERROR(INDEX(Recipe!A$2:A$31,MATCH(29,Recipe!E$2:E$31,0)),"")</f>
        <v/>
      </c>
      <c r="C30" s="2" t="str">
        <f>IF(B30="","",INDEX(Recipe!C$2:C$31,MATCH(29,Recipe!E$2:E$31,0)))</f>
        <v/>
      </c>
      <c r="D30" t="str">
        <f>IF(B30="",D29,IF(D29="",B30,D29&amp;", "&amp;B30))</f>
        <v>rolled oats, honey, almonds, sunflower oil, pumpkin seeds, coconut, dried cranberries (cranberries, sugar, sunflower oil), brown sugar, sea salt, cinnamon, vanilla extract</v>
      </c>
      <c r="E30" t="str">
        <f>IF(OR(B30="",C30&lt;=0.02),E29,IF(E29="",B30,E29&amp;", "&amp;B30))</f>
        <v>rolled oats, honey, almonds, sunflower oil, pumpkin seeds, coconut, dried cranberries (cranberries, sugar, sunflower oil), brown sugar</v>
      </c>
      <c r="F30" t="str">
        <f>IF(OR(B30="",C30&gt;0.02),F29,IF(F29="",B30,F29&amp;", "&amp;B30))</f>
        <v>sea salt, cinnamon, vanilla extract</v>
      </c>
    </row>
    <row r="31">
      <c r="A31" t="n">
        <v>30</v>
      </c>
      <c r="B31" t="str">
        <f>IFERROR(INDEX(Recipe!A$2:A$31,MATCH(30,Recipe!E$2:E$31,0)),"")</f>
        <v/>
      </c>
      <c r="C31" s="2" t="str">
        <f>IF(B31="","",INDEX(Recipe!C$2:C$31,MATCH(30,Recipe!E$2:E$31,0)))</f>
        <v/>
      </c>
      <c r="D31" t="str">
        <f>IF(B31="",D30,IF(D30="",B31,D30&amp;", "&amp;B31))</f>
        <v>rolled oats, honey, almonds, sunflower oil, pumpkin seeds, coconut, dried cranberries (cranberries, sugar, sunflower oil), brown sugar, sea salt, cinnamon, vanilla extract</v>
      </c>
      <c r="E31" t="str">
        <f>IF(OR(B31="",C31&lt;=0.02),E30,IF(E30="",B31,E30&amp;", "&amp;B31))</f>
        <v>rolled oats, honey, almonds, sunflower oil, pumpkin seeds, coconut, dried cranberries (cranberries, sugar, sunflower oil), brown sugar</v>
      </c>
      <c r="F31" t="str">
        <f>IF(OR(B31="",C31&gt;0.02),F30,IF(F30="",B31,F30&amp;", "&amp;B31))</f>
        <v>sea salt, cinnamon, vanilla extract</v>
      </c>
    </row>
    <row r="32"/>
    <row r="33"/>
    <row r="34">
      <c r="A34" s="6" t="inlineStr">
        <is>
          <t>Ingredients, in order</t>
        </is>
      </c>
      <c r="B34" s="3" t="str">
        <f>IF(D31="","","Ingredients: "&amp;D31&amp;".")</f>
        <v>Ingredients: rolled oats, honey, almonds, sunflower oil, pumpkin seeds, coconut, dried cranberries (cranberries, sugar, sunflower oil), brown sugar, sea salt, cinnamon, vanilla extract.</v>
      </c>
    </row>
    <row r="35">
      <c r="A35" s="6" t="inlineStr">
        <is>
          <t>With the 2% statement</t>
        </is>
      </c>
      <c r="B35" s="3" t="str">
        <f>IF(E31="","","Ingredients: "&amp;E31&amp;IF(F31="","",". Contains 2% or less of: "&amp;F31)&amp;".")</f>
        <v>Ingredients: rolled oats, honey, almonds, sunflower oil, pumpkin seeds, coconut, dried cranberries (cranberries, sugar, sunflower oil), brown sugar. Contains 2% or less of: sea salt, cinnamon, vanilla extract.</v>
      </c>
    </row>
    <row r="36"/>
    <row r="37">
      <c r="A37" s="7" t="inlineStr">
        <is>
          <t>The 2% statement is optional; no ingredient after it may be more than 2% of the recipe. Ties keep the order you typed them.</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8" t="inlineStr">
        <is>
          <t>Ingredient list order</t>
        </is>
      </c>
    </row>
    <row r="2" ht="15" customHeight="1">
      <c r="A2" s="3" t="inlineStr">
        <is>
          <t>From the article: https://www.tarostack.com/articles/ingredient-list-order</t>
        </is>
      </c>
    </row>
    <row r="3" ht="15" customHeight="1">
      <c r="A3" s="3" t="inlineStr"/>
    </row>
    <row r="4" ht="30" customHeight="1">
      <c r="A4" s="3" t="inlineStr">
        <is>
          <t>Recipe: one line for each ingredient, named as it goes on the label (with its own ingredients in parentheses where it has them), and its weight in the recipe. Each one's share fills in.</t>
        </is>
      </c>
    </row>
    <row r="5" ht="30" customHeight="1">
      <c r="A5" s="3" t="inlineStr">
        <is>
          <t>Ingredient list: the ingredients in descending order by weight, and the ingredient statement built from them, plain and with the optional 2% statement.</t>
        </is>
      </c>
    </row>
    <row r="6" ht="15" customHeight="1">
      <c r="A6" s="3" t="inlineStr">
        <is>
          <t>The example is the article's made-up granola maker's 30 lb mix.</t>
        </is>
      </c>
    </row>
    <row r="7" ht="15" customHeight="1">
      <c r="A7" s="3" t="inlineStr">
        <is>
          <t>This is a checklist, not legal advice; the rule is 21 CFR 101.4.</t>
        </is>
      </c>
    </row>
    <row r="8" ht="15" customHeight="1">
      <c r="A8" s="3" t="inlineStr"/>
    </row>
    <row r="9" ht="15" customHeight="1">
      <c r="A9" s="3" t="inlineStr">
        <is>
          <t>Works in Excel (2010 and later), Google Sheets, LibreOffice and Numbers. No macros.</t>
        </is>
      </c>
    </row>
    <row r="10" ht="30" customHeight="1">
      <c r="A10"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