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12 oz retail bag</t>
        </is>
      </c>
      <c r="B2" s="2" t="n">
        <v>18</v>
      </c>
      <c r="C2" s="2" t="n">
        <v>4.36</v>
      </c>
      <c r="D2" s="2">
        <f>IF(OR(B2="",C2=""),"",B2-C2)</f>
        <v>13.64</v>
      </c>
      <c r="E2" s="3">
        <f>IF(OR(D2="",N(B2)=0),"",D2/B2)</f>
        <v>0.757777777777778</v>
      </c>
      <c r="F2" t="n">
        <v>300</v>
      </c>
    </row>
    <row r="3">
      <c r="A3" t="inlineStr">
        <is>
          <t>5 lb wholesale bag</t>
        </is>
      </c>
      <c r="B3" s="2" t="n">
        <v>46.25</v>
      </c>
      <c r="C3" s="2" t="n">
        <v>20.44</v>
      </c>
      <c r="D3" s="2">
        <f>IF(OR(B3="",C3=""),"",B3-C3)</f>
        <v>25.81</v>
      </c>
      <c r="E3" s="3">
        <f>IF(OR(D3="",N(B3)=0),"",D3/B3)</f>
        <v>0.558054054054054</v>
      </c>
      <c r="F3" t="n">
        <v>60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12 oz retail bag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5 lb wholesale bag (units)</v>
      </c>
      <c r="C5">
        <f>IF(Products!A3="","",ROUND(N(Products!F3)*C$2,0))</f>
        <v>9</v>
      </c>
      <c r="D5">
        <f>IF(Products!A3="","",ROUND(N(Products!F3)*D$2,0))</f>
        <v>12</v>
      </c>
      <c r="E5">
        <f>IF(Products!A3="","",ROUND(N(Products!F3)*E$2,0))</f>
        <v>15</v>
      </c>
      <c r="F5">
        <f>IF(Products!A3="","",ROUND(N(Products!F3)*F$2,0))</f>
        <v>18</v>
      </c>
      <c r="G5">
        <f>IF(Products!A3="","",ROUND(N(Products!F3)*G$2,0))</f>
        <v>24</v>
      </c>
      <c r="H5">
        <f>IF(Products!A3="","",ROUND(N(Products!F3)*H$2,0))</f>
        <v>30</v>
      </c>
      <c r="I5">
        <f>IF(Products!A3="","",ROUND(N(Products!F3)*I$2,0))</f>
        <v>36</v>
      </c>
      <c r="J5">
        <f>IF(Products!A3="","",ROUND(N(Products!F3)*J$2,0))</f>
        <v>42</v>
      </c>
      <c r="K5">
        <f>IF(Products!A3="","",ROUND(N(Products!F3)*K$2,0))</f>
        <v>48</v>
      </c>
      <c r="L5">
        <f>IF(Products!A3="","",ROUND(N(Products!F3)*L$2,0))</f>
        <v>54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408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1226.25</v>
      </c>
      <c r="D25" s="7">
        <f>SUMPRODUCT(Products!$B$2:$B$21,D4:D23)</f>
        <v>1635</v>
      </c>
      <c r="E25" s="7">
        <f>SUMPRODUCT(Products!$B$2:$B$21,E4:E23)</f>
        <v>2043.75</v>
      </c>
      <c r="F25" s="7">
        <f>SUMPRODUCT(Products!$B$2:$B$21,F4:F23)</f>
        <v>2452.5</v>
      </c>
      <c r="G25" s="7">
        <f>SUMPRODUCT(Products!$B$2:$B$21,G4:G23)</f>
        <v>3270</v>
      </c>
      <c r="H25" s="7">
        <f>SUMPRODUCT(Products!$B$2:$B$21,H4:H23)</f>
        <v>4087.5</v>
      </c>
      <c r="I25" s="7">
        <f>SUMPRODUCT(Products!$B$2:$B$21,I4:I23)</f>
        <v>4905</v>
      </c>
      <c r="J25" s="7">
        <f>SUMPRODUCT(Products!$B$2:$B$21,J4:J23)</f>
        <v>5722.5</v>
      </c>
      <c r="K25" s="7">
        <f>SUMPRODUCT(Products!$B$2:$B$21,K4:K23)</f>
        <v>6540</v>
      </c>
      <c r="L25" s="7">
        <f>SUMPRODUCT(Products!$B$2:$B$21,L4:L23)</f>
        <v>7357.5</v>
      </c>
      <c r="M25" s="7">
        <f>SUMPRODUCT(Products!$B$2:$B$21,M4:M23)</f>
        <v>8175</v>
      </c>
      <c r="N25" s="7">
        <f>SUMPRODUCT(Products!$B$2:$B$21,N4:N23)</f>
        <v>8175</v>
      </c>
      <c r="O25" s="7">
        <f>SUM(C25:N25)</f>
        <v>55590</v>
      </c>
    </row>
    <row r="26">
      <c r="A26" s="5" t="inlineStr">
        <is>
          <t>Contribution</t>
        </is>
      </c>
      <c r="C26" s="7">
        <f>SUMPRODUCT(Products!$D$2:$D$21,C4:C23)</f>
        <v>846.09</v>
      </c>
      <c r="D26" s="7">
        <f>SUMPRODUCT(Products!$D$2:$D$21,D4:D23)</f>
        <v>1128.12</v>
      </c>
      <c r="E26" s="7">
        <f>SUMPRODUCT(Products!$D$2:$D$21,E4:E23)</f>
        <v>1410.15</v>
      </c>
      <c r="F26" s="7">
        <f>SUMPRODUCT(Products!$D$2:$D$21,F4:F23)</f>
        <v>1692.18</v>
      </c>
      <c r="G26" s="7">
        <f>SUMPRODUCT(Products!$D$2:$D$21,G4:G23)</f>
        <v>2256.24</v>
      </c>
      <c r="H26" s="7">
        <f>SUMPRODUCT(Products!$D$2:$D$21,H4:H23)</f>
        <v>2820.3</v>
      </c>
      <c r="I26" s="7">
        <f>SUMPRODUCT(Products!$D$2:$D$21,I4:I23)</f>
        <v>3384.36</v>
      </c>
      <c r="J26" s="7">
        <f>SUMPRODUCT(Products!$D$2:$D$21,J4:J23)</f>
        <v>3948.42</v>
      </c>
      <c r="K26" s="7">
        <f>SUMPRODUCT(Products!$D$2:$D$21,K4:K23)</f>
        <v>4512.48</v>
      </c>
      <c r="L26" s="7">
        <f>SUMPRODUCT(Products!$D$2:$D$21,L4:L23)</f>
        <v>5076.54</v>
      </c>
      <c r="M26" s="7">
        <f>SUMPRODUCT(Products!$D$2:$D$21,M4:M23)</f>
        <v>5640.6</v>
      </c>
      <c r="N26" s="7">
        <f>SUMPRODUCT(Products!$D$2:$D$21,N4:N23)</f>
        <v>5640.6</v>
      </c>
      <c r="O26" s="7">
        <f>SUM(C26:N26)</f>
        <v>38356.08</v>
      </c>
    </row>
    <row r="27">
      <c r="A27" s="5" t="inlineStr">
        <is>
          <t>Fixed costs</t>
        </is>
      </c>
      <c r="C27" s="7">
        <f>'Fixed costs'!$B$22</f>
        <v>2400</v>
      </c>
      <c r="D27" s="7">
        <f>'Fixed costs'!$B$22</f>
        <v>2400</v>
      </c>
      <c r="E27" s="7">
        <f>'Fixed costs'!$B$22</f>
        <v>2400</v>
      </c>
      <c r="F27" s="7">
        <f>'Fixed costs'!$B$22</f>
        <v>2400</v>
      </c>
      <c r="G27" s="7">
        <f>'Fixed costs'!$B$22</f>
        <v>2400</v>
      </c>
      <c r="H27" s="7">
        <f>'Fixed costs'!$B$22</f>
        <v>2400</v>
      </c>
      <c r="I27" s="7">
        <f>'Fixed costs'!$B$22</f>
        <v>2400</v>
      </c>
      <c r="J27" s="7">
        <f>'Fixed costs'!$B$22</f>
        <v>2400</v>
      </c>
      <c r="K27" s="7">
        <f>'Fixed costs'!$B$22</f>
        <v>2400</v>
      </c>
      <c r="L27" s="7">
        <f>'Fixed costs'!$B$22</f>
        <v>2400</v>
      </c>
      <c r="M27" s="7">
        <f>'Fixed costs'!$B$22</f>
        <v>2400</v>
      </c>
      <c r="N27" s="7">
        <f>'Fixed costs'!$B$22</f>
        <v>2400</v>
      </c>
      <c r="O27" s="7">
        <f>SUM(C27:N27)</f>
        <v>28800</v>
      </c>
    </row>
    <row r="28">
      <c r="A28" s="5" t="inlineStr">
        <is>
          <t>Profit</t>
        </is>
      </c>
      <c r="C28" s="7">
        <f>C26-C27</f>
        <v>-1553.91</v>
      </c>
      <c r="D28" s="7">
        <f>D26-D27</f>
        <v>-1271.88</v>
      </c>
      <c r="E28" s="7">
        <f>E26-E27</f>
        <v>-989.85</v>
      </c>
      <c r="F28" s="7">
        <f>F26-F27</f>
        <v>-707.82</v>
      </c>
      <c r="G28" s="7">
        <f>G26-G27</f>
        <v>-143.76</v>
      </c>
      <c r="H28" s="7">
        <f>H26-H27</f>
        <v>420.3</v>
      </c>
      <c r="I28" s="7">
        <f>I26-I27</f>
        <v>984.36</v>
      </c>
      <c r="J28" s="7">
        <f>J26-J27</f>
        <v>1548.42</v>
      </c>
      <c r="K28" s="7">
        <f>K26-K27</f>
        <v>2112.48</v>
      </c>
      <c r="L28" s="7">
        <f>L26-L27</f>
        <v>2676.54</v>
      </c>
      <c r="M28" s="7">
        <f>M26-M27</f>
        <v>3240.6</v>
      </c>
      <c r="N28" s="7">
        <f>N26-N27</f>
        <v>3240.6</v>
      </c>
      <c r="O28" s="7">
        <f>SUM(C28:N28)</f>
        <v>9556.08</v>
      </c>
    </row>
    <row r="29">
      <c r="A29" s="5" t="inlineStr">
        <is>
          <t>Cash, start of year to date</t>
        </is>
      </c>
      <c r="C29" s="7">
        <f>C28</f>
        <v>-1553.91</v>
      </c>
      <c r="D29" s="7">
        <f>C29+D28</f>
        <v>-2825.79</v>
      </c>
      <c r="E29" s="7">
        <f>D29+E28</f>
        <v>-3815.64</v>
      </c>
      <c r="F29" s="7">
        <f>E29+F28</f>
        <v>-4523.46</v>
      </c>
      <c r="G29" s="7">
        <f>F29+G28</f>
        <v>-4667.22</v>
      </c>
      <c r="H29" s="7">
        <f>G29+H28</f>
        <v>-4246.92</v>
      </c>
      <c r="I29" s="7">
        <f>H29+I28</f>
        <v>-3262.56</v>
      </c>
      <c r="J29" s="7">
        <f>I29+J28</f>
        <v>-1714.14</v>
      </c>
      <c r="K29" s="7">
        <f>J29+K28</f>
        <v>398.340000000002</v>
      </c>
      <c r="L29" s="7">
        <f>K29+L28</f>
        <v>3074.88</v>
      </c>
      <c r="M29" s="7">
        <f>L29+M28</f>
        <v>6315.48</v>
      </c>
      <c r="N29" s="7">
        <f>M29+N28</f>
        <v>9556.08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-4667.22</v>
      </c>
    </row>
    <row r="35">
      <c r="A35" s="5" t="inlineStr">
        <is>
          <t>Working cash in the startup budget</t>
        </is>
      </c>
      <c r="C35" s="7">
        <f>Startup!B22</f>
        <v>4800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Rent, shared roastery space</t>
        </is>
      </c>
      <c r="B2" s="9" t="n">
        <v>1200</v>
      </c>
    </row>
    <row r="3">
      <c r="A3" t="inlineStr">
        <is>
          <t>Equipment loan, the roaster</t>
        </is>
      </c>
      <c r="B3" s="9" t="n">
        <v>450</v>
      </c>
    </row>
    <row r="4">
      <c r="A4" t="inlineStr">
        <is>
          <t>Marketing and samples</t>
        </is>
      </c>
      <c r="B4" s="9" t="n">
        <v>250</v>
      </c>
    </row>
    <row r="5">
      <c r="A5" t="inlineStr">
        <is>
          <t>Utilities</t>
        </is>
      </c>
      <c r="B5" s="9" t="n">
        <v>200</v>
      </c>
    </row>
    <row r="6">
      <c r="A6" t="inlineStr">
        <is>
          <t>Insurance</t>
        </is>
      </c>
      <c r="B6" s="9" t="n">
        <v>150</v>
      </c>
    </row>
    <row r="7">
      <c r="A7" t="inlineStr">
        <is>
          <t>Software and website</t>
        </is>
      </c>
      <c r="B7" s="9" t="n">
        <v>150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Scale, heat sealer, grinder for cupping</t>
        </is>
      </c>
      <c r="B2" s="9" t="n">
        <v>900</v>
      </c>
    </row>
    <row r="3">
      <c r="A3" t="inlineStr">
        <is>
          <t>Green coffee: three bags, landed</t>
        </is>
      </c>
      <c r="B3" s="9" t="n">
        <v>1260</v>
      </c>
    </row>
    <row r="4">
      <c r="A4" t="inlineStr">
        <is>
          <t>Valve bags and labels, first 1,000</t>
        </is>
      </c>
      <c r="B4" s="9" t="n">
        <v>650</v>
      </c>
    </row>
    <row r="5">
      <c r="A5" t="inlineStr">
        <is>
          <t>Business license, registration, permits</t>
        </is>
      </c>
      <c r="B5" s="9" t="n">
        <v>450</v>
      </c>
    </row>
    <row r="6">
      <c r="A6" t="inlineStr">
        <is>
          <t>Ventilation or afterburner work, if needed</t>
        </is>
      </c>
      <c r="B6" s="9" t="n">
        <v>2500</v>
      </c>
    </row>
    <row r="7">
      <c r="A7" t="inlineStr">
        <is>
          <t>Website and online shop</t>
        </is>
      </c>
      <c r="B7" s="9" t="n">
        <v>300</v>
      </c>
    </row>
    <row r="8">
      <c r="A8" t="inlineStr">
        <is>
          <t>Samples for cafés</t>
        </is>
      </c>
      <c r="B8" s="9" t="n">
        <v>150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6210</v>
      </c>
    </row>
    <row r="22">
      <c r="A22" t="inlineStr">
        <is>
          <t>Working cash</t>
        </is>
      </c>
      <c r="B22" s="11" t="n">
        <v>4800</v>
      </c>
    </row>
    <row r="23">
      <c r="A23" s="5" t="inlineStr">
        <is>
          <t>Total to start</t>
        </is>
      </c>
      <c r="B23" s="10">
        <f>B21+B22</f>
        <v>11010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Coffee roasting business plan: first-year numbers</t>
        </is>
      </c>
    </row>
    <row r="2" ht="15" customHeight="1">
      <c r="A2" s="13" t="inlineStr">
        <is>
          <t>From the article: https://www.tarostack.com/articles/coffee-roasting-business-plan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